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D-Line\JPE\manuscripts\JPE859_Gauger\"/>
    </mc:Choice>
  </mc:AlternateContent>
  <xr:revisionPtr revIDLastSave="0" documentId="13_ncr:1_{B884C013-2D55-4317-B5BA-630B458AE8F3}" xr6:coauthVersionLast="47" xr6:coauthVersionMax="47" xr10:uidLastSave="{00000000-0000-0000-0000-000000000000}"/>
  <bookViews>
    <workbookView xWindow="-110" yWindow="-110" windowWidth="19420" windowHeight="10420" xr2:uid="{63B08035-753F-4761-917A-B6EAF5D9B563}"/>
  </bookViews>
  <sheets>
    <sheet name="cover" sheetId="15" r:id="rId1"/>
    <sheet name="Data" sheetId="1" r:id="rId2"/>
    <sheet name="Metadata" sheetId="14" r:id="rId3"/>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 i="14" l="1" a="1"/>
  <c r="A2" i="14" s="1"/>
  <c r="L3" i="1"/>
  <c r="L4" i="1"/>
  <c r="L5" i="1"/>
  <c r="L6" i="1"/>
  <c r="L7" i="1"/>
  <c r="L8" i="1"/>
  <c r="L9" i="1"/>
  <c r="L10" i="1"/>
  <c r="L11" i="1"/>
  <c r="L12" i="1"/>
  <c r="L13" i="1"/>
  <c r="L14" i="1"/>
  <c r="L15" i="1"/>
  <c r="L16" i="1"/>
  <c r="L17" i="1"/>
  <c r="L18" i="1"/>
  <c r="L19" i="1"/>
  <c r="L20" i="1"/>
  <c r="L21" i="1"/>
  <c r="L22" i="1"/>
  <c r="L23" i="1"/>
  <c r="L24" i="1"/>
  <c r="L25" i="1"/>
  <c r="L26" i="1"/>
  <c r="L27" i="1"/>
  <c r="L28" i="1"/>
  <c r="L2" i="1"/>
  <c r="O28" i="1"/>
  <c r="O27" i="1"/>
  <c r="O26" i="1"/>
  <c r="O25" i="1"/>
  <c r="O24" i="1"/>
  <c r="O23" i="1"/>
  <c r="O22" i="1"/>
  <c r="O21" i="1"/>
  <c r="O20" i="1"/>
  <c r="O19" i="1"/>
  <c r="I27" i="1"/>
  <c r="I26" i="1"/>
  <c r="I20" i="1"/>
  <c r="I19" i="1"/>
  <c r="F13" i="1"/>
  <c r="F12" i="1"/>
  <c r="F11" i="1"/>
  <c r="F10" i="1"/>
  <c r="F9" i="1"/>
  <c r="F8" i="1"/>
  <c r="F7" i="1"/>
  <c r="F6" i="1"/>
  <c r="F5" i="1"/>
  <c r="F4" i="1"/>
  <c r="F3" i="1"/>
  <c r="F2" i="1"/>
  <c r="O2" i="1"/>
  <c r="N2" i="1"/>
  <c r="K13" i="1"/>
  <c r="K10" i="1"/>
  <c r="J13" i="1"/>
  <c r="J10" i="1"/>
  <c r="H13" i="1"/>
  <c r="A16" i="14"/>
  <c r="A15" i="14"/>
  <c r="A14" i="14"/>
  <c r="A13" i="14"/>
  <c r="A12" i="14"/>
  <c r="A11" i="14"/>
  <c r="A10" i="14"/>
  <c r="A9" i="14"/>
  <c r="A8" i="14"/>
  <c r="A7" i="14"/>
  <c r="A6" i="14"/>
  <c r="A5" i="14"/>
  <c r="A4" i="14"/>
  <c r="A3" i="14"/>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<sst xmlns="http://schemas.openxmlformats.org/spreadsheetml/2006/main" count="72" uniqueCount="48">
  <si>
    <t>name</t>
  </si>
  <si>
    <t>year</t>
  </si>
  <si>
    <t>treatment</t>
  </si>
  <si>
    <t>end_kg_plastic</t>
  </si>
  <si>
    <t>eggs</t>
  </si>
  <si>
    <t>larvae</t>
  </si>
  <si>
    <t>pupae</t>
  </si>
  <si>
    <t>worker_count</t>
  </si>
  <si>
    <t>worker_weight</t>
  </si>
  <si>
    <t>drone_count</t>
  </si>
  <si>
    <t>queen_weight</t>
  </si>
  <si>
    <t>honeypollen_count</t>
  </si>
  <si>
    <t>control_1</t>
  </si>
  <si>
    <t>control_2</t>
  </si>
  <si>
    <t>control_3</t>
  </si>
  <si>
    <t>control_4</t>
  </si>
  <si>
    <t>net_1</t>
  </si>
  <si>
    <t>net_2</t>
  </si>
  <si>
    <t>net_3</t>
  </si>
  <si>
    <t>net_4</t>
  </si>
  <si>
    <t>outside_1</t>
  </si>
  <si>
    <t>outside_2</t>
  </si>
  <si>
    <t>outside_3</t>
  </si>
  <si>
    <t>outside_4</t>
  </si>
  <si>
    <t>doa</t>
  </si>
  <si>
    <t>mono_meso</t>
  </si>
  <si>
    <t>outside</t>
  </si>
  <si>
    <t>start_date</t>
  </si>
  <si>
    <t>end_date</t>
  </si>
  <si>
    <t>total_worker_weight</t>
  </si>
  <si>
    <t>Variable name</t>
  </si>
  <si>
    <t>Meaning</t>
  </si>
  <si>
    <r>
      <t xml:space="preserve">Individual identifier for each Koppert </t>
    </r>
    <r>
      <rPr>
        <i/>
        <sz val="11"/>
        <color theme="1"/>
        <rFont val="Calibri"/>
        <family val="2"/>
        <scheme val="minor"/>
      </rPr>
      <t xml:space="preserve">B. impatiens </t>
    </r>
    <r>
      <rPr>
        <sz val="11"/>
        <color theme="1"/>
        <rFont val="Calibri"/>
        <family val="2"/>
        <scheme val="minor"/>
      </rPr>
      <t xml:space="preserve">colony used in the experiment. Each row of the Data sheet includes the data for the specified individual colony. </t>
    </r>
  </si>
  <si>
    <t xml:space="preserve">The year (2022 or 2023) in which the experiment took place for the specified colony. </t>
  </si>
  <si>
    <t xml:space="preserve">The date (month/day/year format) on which the treatment was initiated for the specified colony. </t>
  </si>
  <si>
    <t xml:space="preserve">The date (month/day/year format) on which the treatment was terminated and the colony was placed into freezer storage. </t>
  </si>
  <si>
    <r>
      <t xml:space="preserve">Number (count) of </t>
    </r>
    <r>
      <rPr>
        <i/>
        <sz val="11"/>
        <color theme="1"/>
        <rFont val="Calibri"/>
        <family val="2"/>
        <scheme val="minor"/>
      </rPr>
      <t xml:space="preserve">B. impatiens </t>
    </r>
    <r>
      <rPr>
        <sz val="11"/>
        <color theme="1"/>
        <rFont val="Calibri"/>
        <family val="2"/>
        <scheme val="minor"/>
      </rPr>
      <t xml:space="preserve">eggs removed from the specified colony during dissection. </t>
    </r>
  </si>
  <si>
    <r>
      <t xml:space="preserve">Number (count) of </t>
    </r>
    <r>
      <rPr>
        <i/>
        <sz val="11"/>
        <color theme="1"/>
        <rFont val="Calibri"/>
        <family val="2"/>
        <scheme val="minor"/>
      </rPr>
      <t>B. impatiens</t>
    </r>
    <r>
      <rPr>
        <sz val="11"/>
        <color theme="1"/>
        <rFont val="Calibri"/>
        <family val="2"/>
        <scheme val="minor"/>
      </rPr>
      <t xml:space="preserve"> pupae removed from the specified colony during dissection. Includes pupae of all developmental stages and castes.</t>
    </r>
  </si>
  <si>
    <r>
      <t xml:space="preserve">Number (count) of </t>
    </r>
    <r>
      <rPr>
        <i/>
        <sz val="11"/>
        <color theme="1"/>
        <rFont val="Calibri"/>
        <family val="2"/>
        <scheme val="minor"/>
      </rPr>
      <t xml:space="preserve">B. impatiens </t>
    </r>
    <r>
      <rPr>
        <sz val="11"/>
        <color theme="1"/>
        <rFont val="Calibri"/>
        <family val="2"/>
        <scheme val="minor"/>
      </rPr>
      <t>larvae removed from the specified colony during dissection. Includes larvae of all developmental stages and castes.</t>
    </r>
  </si>
  <si>
    <r>
      <t xml:space="preserve">Number (count) of all </t>
    </r>
    <r>
      <rPr>
        <i/>
        <sz val="11"/>
        <color theme="1"/>
        <rFont val="Calibri"/>
        <family val="2"/>
        <scheme val="minor"/>
      </rPr>
      <t xml:space="preserve">B. impatiens </t>
    </r>
    <r>
      <rPr>
        <sz val="11"/>
        <color theme="1"/>
        <rFont val="Calibri"/>
        <family val="2"/>
        <scheme val="minor"/>
      </rPr>
      <t xml:space="preserve">female workers removed from the specified colony during dissection. Workers in greatly deteriorated condition that were assumed to have died in advance of termination (end_date) were excluded from this count, as described in Appendix I. </t>
    </r>
  </si>
  <si>
    <t xml:space="preserve">The final mass (kg) of the specified colony at the time of dissection, including the black plastic Koppert nest box and all its contents. Referred to as "nest structure mass" in manuscript. </t>
  </si>
  <si>
    <r>
      <t xml:space="preserve">Mass (g) of all </t>
    </r>
    <r>
      <rPr>
        <i/>
        <sz val="11"/>
        <color theme="1"/>
        <rFont val="Calibri"/>
        <family val="2"/>
        <scheme val="minor"/>
      </rPr>
      <t>B. impatiens</t>
    </r>
    <r>
      <rPr>
        <sz val="11"/>
        <color theme="1"/>
        <rFont val="Calibri"/>
        <family val="2"/>
        <scheme val="minor"/>
      </rPr>
      <t xml:space="preserve"> female workers removed from the specified colony during dissection, weighed together on a balance.</t>
    </r>
  </si>
  <si>
    <r>
      <t xml:space="preserve">Average mass (g) of an individual </t>
    </r>
    <r>
      <rPr>
        <i/>
        <sz val="11"/>
        <color theme="1"/>
        <rFont val="Calibri"/>
        <family val="2"/>
        <scheme val="minor"/>
      </rPr>
      <t xml:space="preserve">B. impatiens </t>
    </r>
    <r>
      <rPr>
        <sz val="11"/>
        <color theme="1"/>
        <rFont val="Calibri"/>
        <family val="2"/>
        <scheme val="minor"/>
      </rPr>
      <t>female worker removed from the specified colony during dissection, calculated by dividing "total_worker_weight" by "worker_count." This is the value used in the colony health indices described in this manuscript.</t>
    </r>
  </si>
  <si>
    <r>
      <t xml:space="preserve">Number (count) of </t>
    </r>
    <r>
      <rPr>
        <i/>
        <sz val="11"/>
        <color theme="1"/>
        <rFont val="Calibri"/>
        <family val="2"/>
        <scheme val="minor"/>
      </rPr>
      <t>B. impatiens</t>
    </r>
    <r>
      <rPr>
        <sz val="11"/>
        <color theme="1"/>
        <rFont val="Calibri"/>
        <family val="2"/>
        <scheme val="minor"/>
      </rPr>
      <t xml:space="preserve"> male drones removed from the specified colony during dissection and identified as described in Appendix I. </t>
    </r>
  </si>
  <si>
    <t>The experimental treatment applied to the specified colony. "doa" is shorthand for the no-foraging treatment (in 2022, terminated on arrival; in 2023, starvation). "mono_meso" is shorthand for the cucurbit monoculture-planted mesotunnel foraging environment treatment. "outside" is shorthand for the free-foraging treatment.</t>
  </si>
  <si>
    <r>
      <t xml:space="preserve">Mass (g) of all </t>
    </r>
    <r>
      <rPr>
        <i/>
        <sz val="11"/>
        <color theme="1"/>
        <rFont val="Calibri"/>
        <family val="2"/>
        <scheme val="minor"/>
      </rPr>
      <t xml:space="preserve">B. impatiens </t>
    </r>
    <r>
      <rPr>
        <sz val="11"/>
        <color theme="1"/>
        <rFont val="Calibri"/>
        <family val="2"/>
        <scheme val="minor"/>
      </rPr>
      <t xml:space="preserve">female queens removed from the specified colony during dissection, weighed on a balance. All colonies but one in this experiment contained only 1 queen. In one instance of two </t>
    </r>
    <r>
      <rPr>
        <i/>
        <sz val="11"/>
        <color theme="1"/>
        <rFont val="Calibri"/>
        <family val="2"/>
        <scheme val="minor"/>
      </rPr>
      <t xml:space="preserve">B. impatiens </t>
    </r>
    <r>
      <rPr>
        <sz val="11"/>
        <color theme="1"/>
        <rFont val="Calibri"/>
        <family val="2"/>
        <scheme val="minor"/>
      </rPr>
      <t xml:space="preserve">queens in the same colony (Colony 22), the two queens were weighed and recorded cumulatively. </t>
    </r>
  </si>
  <si>
    <t>Number (count) of stored honey and pollen nest cells removed from the specified colony during dissection. In 2022, nest cells were not distinguished by their contents during the dissection process. In 2023, our improved technique and experience allowed us to distinguish cells containing either pollen or honey and count these separately. To facilitate comparison between years, values presented from 2023 are the summed number of pollen cells and honey cells.</t>
  </si>
  <si>
    <t>DOI: 10.26786/1920-7603(2025)859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</si>
</sst>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3" x14ac:knownFonts="1">
    <font>
      <sz val="11"/>
      <color theme="1"/>
      <name val="Calibri"/>
      <family val="2"/>
      <scheme val="minor"/>
    </font>
    <font>
      <i/>
      <sz val="11"/>
      <color theme="1"/>
      <name val="Calibri"/>
      <family val="2"/>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8">
    <xf numFmtId="0" fontId="0" fillId="0" borderId="0" xfId="0"/>
    <xf numFmtId="2" fontId="0" fillId="0" borderId="0" xfId="0" applyNumberFormat="1"/>
    <xf numFmtId="14" fontId="0" fillId="0" borderId="0" xfId="0" applyNumberFormat="1"/>
    <xf numFmtId="1" fontId="0" fillId="0" borderId="0" xfId="0" applyNumberFormat="1"/>
    <xf numFmtId="164" fontId="0" fillId="0" borderId="0" xfId="0" applyNumberFormat="1"/>
    <xf numFmtId="165" fontId="0" fillId="0" borderId="0" xfId="0" applyNumberFormat="1"/>
    <xf numFmtId="0" fontId="0" fillId="0" borderId="0" xfId="0" applyAlignment="1">
      <alignment wrapText="1"/>
    </xf>
    <xf numFmtId="0" fontId="2" fillId="0" borderId="0" xfId="1" applyAlignment="1">
      <alignment horizontal="justify" vertical="center"/>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209550</xdr:colOff>
      <xdr:row>2</xdr:row>
      <xdr:rowOff>120650</xdr:rowOff>
    </xdr:to>
    <xdr:sp macro="" textlink="">
      <xdr:nvSpPr>
        <xdr:cNvPr id="1027" name="Textfeld 6">
          <a:extLst>
            <a:ext uri="{FF2B5EF4-FFF2-40B4-BE49-F238E27FC236}">
              <a16:creationId xmlns:a16="http://schemas.microsoft.com/office/drawing/2014/main" id="{DBFDF0D6-2FB4-3917-F6E6-C56013CD287E}"/>
            </a:ext>
          </a:extLst>
        </xdr:cNvPr>
        <xdr:cNvSpPr txBox="1">
          <a:spLocks noChangeArrowheads="1"/>
        </xdr:cNvSpPr>
      </xdr:nvSpPr>
      <xdr:spPr bwMode="auto">
        <a:xfrm>
          <a:off x="0" y="0"/>
          <a:ext cx="6191250" cy="488950"/>
        </a:xfrm>
        <a:prstGeom prst="rect">
          <a:avLst/>
        </a:prstGeom>
        <a:solidFill>
          <a:srgbClr val="FCB424"/>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en-GB" sz="1600" b="1" i="0" u="none" strike="noStrike" baseline="0">
              <a:solidFill>
                <a:srgbClr val="FFFFFF"/>
              </a:solidFill>
              <a:latin typeface="Candara"/>
            </a:rPr>
            <a:t>Appendices to J Poll Ecol 39(22), Gauger et al.</a:t>
          </a:r>
        </a:p>
      </xdr:txBody>
    </xdr:sp>
    <xdr:clientData/>
  </xdr:twoCellAnchor>
  <xdr:twoCellAnchor>
    <xdr:from>
      <xdr:col>5</xdr:col>
      <xdr:colOff>476250</xdr:colOff>
      <xdr:row>0</xdr:row>
      <xdr:rowOff>12700</xdr:rowOff>
    </xdr:from>
    <xdr:to>
      <xdr:col>6</xdr:col>
      <xdr:colOff>203200</xdr:colOff>
      <xdr:row>2</xdr:row>
      <xdr:rowOff>127000</xdr:rowOff>
    </xdr:to>
    <xdr:pic>
      <xdr:nvPicPr>
        <xdr:cNvPr id="3" name="Grafik 4">
          <a:extLst>
            <a:ext uri="{FF2B5EF4-FFF2-40B4-BE49-F238E27FC236}">
              <a16:creationId xmlns:a16="http://schemas.microsoft.com/office/drawing/2014/main" id="{A0222474-A7E7-B5F2-41C8-096BF0EFCE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95950" y="12700"/>
          <a:ext cx="488950" cy="482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doi.org/10.26786/1920-7603(2025)85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5C73D-7BED-47A8-BF0B-0A93E70C177F}">
  <dimension ref="A4"/>
  <sheetViews>
    <sheetView tabSelected="1" workbookViewId="0">
      <selection activeCell="A4" sqref="A4"/>
    </sheetView>
  </sheetViews>
  <sheetFormatPr baseColWidth="10" defaultRowHeight="14.5" x14ac:dyDescent="0.35"/>
  <cols>
    <col min="1" max="1" width="31.08984375" customWidth="1"/>
  </cols>
  <sheetData>
    <row r="4" spans="1:1" x14ac:dyDescent="0.35">
      <c r="A4" s="7" t="s">
        <v>47</v>
      </c>
    </row>
  </sheetData>
  <hyperlinks>
    <hyperlink ref="A4" r:id="rId1" display="https://doi.org/10.26786/1920-7603(2025)859" xr:uid="{D7C4C240-A306-4312-A261-39A2059D85FA}"/>
  </hyperlinks>
  <pageMargins left="0.7" right="0.7" top="0.78740157499999996" bottom="0.78740157499999996"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9D7F3-3ECC-4524-AA06-97C46802B5C1}">
  <dimension ref="A1:O28"/>
  <sheetViews>
    <sheetView workbookViewId="0">
      <selection activeCell="F7" sqref="F7"/>
    </sheetView>
  </sheetViews>
  <sheetFormatPr baseColWidth="10" defaultColWidth="8.81640625" defaultRowHeight="14.5" x14ac:dyDescent="0.35"/>
  <cols>
    <col min="3" max="3" width="10.36328125" bestFit="1" customWidth="1"/>
    <col min="4" max="5" width="10.36328125" customWidth="1"/>
    <col min="6" max="6" width="12.36328125" bestFit="1" customWidth="1"/>
    <col min="10" max="10" width="12.36328125" bestFit="1" customWidth="1"/>
    <col min="11" max="11" width="17.36328125" bestFit="1" customWidth="1"/>
    <col min="12" max="12" width="12.6328125" customWidth="1"/>
    <col min="13" max="13" width="10.6328125" bestFit="1" customWidth="1"/>
    <col min="14" max="14" width="11.6328125" bestFit="1" customWidth="1"/>
    <col min="15" max="15" width="11" bestFit="1" customWidth="1"/>
    <col min="16" max="16" width="12" bestFit="1" customWidth="1"/>
    <col min="17" max="17" width="15.81640625" bestFit="1" customWidth="1"/>
  </cols>
  <sheetData>
    <row r="1" spans="1:15" x14ac:dyDescent="0.35">
      <c r="A1" t="s">
        <v>0</v>
      </c>
      <c r="B1" t="s">
        <v>1</v>
      </c>
      <c r="C1" t="s">
        <v>2</v>
      </c>
      <c r="D1" t="s">
        <v>27</v>
      </c>
      <c r="E1" t="s">
        <v>28</v>
      </c>
      <c r="F1" t="s">
        <v>3</v>
      </c>
      <c r="G1" t="s">
        <v>4</v>
      </c>
      <c r="H1" t="s">
        <v>5</v>
      </c>
      <c r="I1" t="s">
        <v>6</v>
      </c>
      <c r="J1" t="s">
        <v>7</v>
      </c>
      <c r="K1" t="s">
        <v>29</v>
      </c>
      <c r="L1" t="s">
        <v>8</v>
      </c>
      <c r="M1" t="s">
        <v>9</v>
      </c>
      <c r="N1" t="s">
        <v>10</v>
      </c>
      <c r="O1" t="s">
        <v>11</v>
      </c>
    </row>
    <row r="2" spans="1:15" x14ac:dyDescent="0.35">
      <c r="A2" t="s">
        <v>12</v>
      </c>
      <c r="B2">
        <v>2022</v>
      </c>
      <c r="C2" t="s">
        <v>24</v>
      </c>
      <c r="D2" s="2">
        <v>44719</v>
      </c>
      <c r="E2" s="2">
        <v>44719</v>
      </c>
      <c r="F2" s="4">
        <f>632.2/1000</f>
        <v>0.6322000000000001</v>
      </c>
      <c r="G2">
        <v>89</v>
      </c>
      <c r="H2">
        <v>185</v>
      </c>
      <c r="I2">
        <v>83</v>
      </c>
      <c r="J2">
        <v>93</v>
      </c>
      <c r="K2" s="1">
        <v>17.350000000000001</v>
      </c>
      <c r="L2" s="1">
        <f>K2/J2</f>
        <v>0.18655913978494626</v>
      </c>
      <c r="M2">
        <v>2</v>
      </c>
      <c r="N2">
        <f>SUM(7.68-6.8)</f>
        <v>0.87999999999999989</v>
      </c>
      <c r="O2">
        <f>SUM(18+38)</f>
        <v>56</v>
      </c>
    </row>
    <row r="3" spans="1:15" x14ac:dyDescent="0.35">
      <c r="A3" t="s">
        <v>13</v>
      </c>
      <c r="B3">
        <v>2022</v>
      </c>
      <c r="C3" t="s">
        <v>24</v>
      </c>
      <c r="D3" s="2">
        <v>44719</v>
      </c>
      <c r="E3" s="2">
        <v>44719</v>
      </c>
      <c r="F3" s="4">
        <f>617.6/1000</f>
        <v>0.61760000000000004</v>
      </c>
      <c r="G3">
        <v>45</v>
      </c>
      <c r="H3">
        <v>123</v>
      </c>
      <c r="I3">
        <v>45</v>
      </c>
      <c r="J3">
        <v>97</v>
      </c>
      <c r="K3" s="1">
        <v>14.51</v>
      </c>
      <c r="L3" s="1">
        <f t="shared" ref="L3:L28" si="0">K3/J3</f>
        <v>0.14958762886597937</v>
      </c>
      <c r="M3">
        <v>11</v>
      </c>
      <c r="N3">
        <v>0.81</v>
      </c>
      <c r="O3">
        <v>22</v>
      </c>
    </row>
    <row r="4" spans="1:15" x14ac:dyDescent="0.35">
      <c r="A4" t="s">
        <v>14</v>
      </c>
      <c r="B4">
        <v>2022</v>
      </c>
      <c r="C4" t="s">
        <v>24</v>
      </c>
      <c r="D4" s="2">
        <v>44719</v>
      </c>
      <c r="E4" s="2">
        <v>44719</v>
      </c>
      <c r="F4" s="4">
        <f>612.4/1000</f>
        <v>0.61239999999999994</v>
      </c>
      <c r="G4">
        <v>98</v>
      </c>
      <c r="H4">
        <v>238</v>
      </c>
      <c r="I4">
        <v>63</v>
      </c>
      <c r="J4">
        <v>79</v>
      </c>
      <c r="K4" s="1">
        <v>11.81</v>
      </c>
      <c r="L4" s="1">
        <f t="shared" si="0"/>
        <v>0.14949367088607596</v>
      </c>
      <c r="M4">
        <v>0</v>
      </c>
      <c r="N4">
        <v>0.91</v>
      </c>
      <c r="O4">
        <v>19</v>
      </c>
    </row>
    <row r="5" spans="1:15" x14ac:dyDescent="0.35">
      <c r="A5" t="s">
        <v>15</v>
      </c>
      <c r="B5">
        <v>2022</v>
      </c>
      <c r="C5" t="s">
        <v>24</v>
      </c>
      <c r="D5" s="2">
        <v>44719</v>
      </c>
      <c r="E5" s="2">
        <v>44719</v>
      </c>
      <c r="F5" s="4">
        <f>647/1000</f>
        <v>0.64700000000000002</v>
      </c>
      <c r="G5">
        <v>109</v>
      </c>
      <c r="H5">
        <v>109</v>
      </c>
      <c r="I5">
        <v>61</v>
      </c>
      <c r="J5">
        <v>112</v>
      </c>
      <c r="K5" s="1">
        <v>21.76</v>
      </c>
      <c r="L5" s="1">
        <f t="shared" si="0"/>
        <v>0.19428571428571431</v>
      </c>
      <c r="M5">
        <v>2</v>
      </c>
      <c r="N5">
        <v>0.79</v>
      </c>
      <c r="O5">
        <v>53</v>
      </c>
    </row>
    <row r="6" spans="1:15" x14ac:dyDescent="0.35">
      <c r="A6" t="s">
        <v>16</v>
      </c>
      <c r="B6">
        <v>2022</v>
      </c>
      <c r="C6" t="s">
        <v>25</v>
      </c>
      <c r="D6" s="2">
        <v>44719</v>
      </c>
      <c r="E6" s="2">
        <v>44749</v>
      </c>
      <c r="F6" s="4">
        <f>732.2/1000</f>
        <v>0.73220000000000007</v>
      </c>
      <c r="G6" s="3">
        <v>23</v>
      </c>
      <c r="H6" s="3">
        <v>24</v>
      </c>
      <c r="I6" s="3">
        <v>27</v>
      </c>
      <c r="J6" s="3">
        <v>67</v>
      </c>
      <c r="K6" s="1">
        <v>10.34</v>
      </c>
      <c r="L6" s="1">
        <f t="shared" si="0"/>
        <v>0.15432835820895521</v>
      </c>
      <c r="M6" s="3">
        <v>0</v>
      </c>
      <c r="N6">
        <v>0.88</v>
      </c>
      <c r="O6" s="3">
        <v>155</v>
      </c>
    </row>
    <row r="7" spans="1:15" x14ac:dyDescent="0.35">
      <c r="A7" t="s">
        <v>17</v>
      </c>
      <c r="B7">
        <v>2022</v>
      </c>
      <c r="C7" t="s">
        <v>25</v>
      </c>
      <c r="D7" s="2">
        <v>44719</v>
      </c>
      <c r="E7" s="2">
        <v>44749</v>
      </c>
      <c r="F7" s="4">
        <f>736.8/1000</f>
        <v>0.7367999999999999</v>
      </c>
      <c r="G7" s="3">
        <v>14</v>
      </c>
      <c r="H7" s="3">
        <v>54</v>
      </c>
      <c r="I7" s="3">
        <v>20</v>
      </c>
      <c r="J7" s="3">
        <v>45</v>
      </c>
      <c r="K7" s="1">
        <v>6.26</v>
      </c>
      <c r="L7" s="1">
        <f t="shared" si="0"/>
        <v>0.1391111111111111</v>
      </c>
      <c r="M7" s="3">
        <v>0</v>
      </c>
      <c r="N7">
        <v>0.86</v>
      </c>
      <c r="O7" s="3">
        <v>177</v>
      </c>
    </row>
    <row r="8" spans="1:15" x14ac:dyDescent="0.35">
      <c r="A8" t="s">
        <v>18</v>
      </c>
      <c r="B8">
        <v>2022</v>
      </c>
      <c r="C8" t="s">
        <v>25</v>
      </c>
      <c r="D8" s="2">
        <v>44719</v>
      </c>
      <c r="E8" s="2">
        <v>44749</v>
      </c>
      <c r="F8" s="4">
        <f>729.4/1000</f>
        <v>0.72939999999999994</v>
      </c>
      <c r="G8" s="3">
        <v>36</v>
      </c>
      <c r="H8" s="3">
        <v>30</v>
      </c>
      <c r="I8" s="3">
        <v>8</v>
      </c>
      <c r="J8" s="3">
        <v>89</v>
      </c>
      <c r="K8" s="1">
        <v>15.23</v>
      </c>
      <c r="L8" s="1">
        <f t="shared" si="0"/>
        <v>0.17112359550561798</v>
      </c>
      <c r="M8" s="3">
        <v>1</v>
      </c>
      <c r="N8">
        <v>0.89</v>
      </c>
      <c r="O8" s="3">
        <v>126</v>
      </c>
    </row>
    <row r="9" spans="1:15" x14ac:dyDescent="0.35">
      <c r="A9" t="s">
        <v>19</v>
      </c>
      <c r="B9">
        <v>2022</v>
      </c>
      <c r="C9" t="s">
        <v>25</v>
      </c>
      <c r="D9" s="2">
        <v>44719</v>
      </c>
      <c r="E9" s="2">
        <v>44749</v>
      </c>
      <c r="F9" s="4">
        <f>711.3/1000</f>
        <v>0.71129999999999993</v>
      </c>
      <c r="G9" s="3">
        <v>32</v>
      </c>
      <c r="H9" s="3">
        <v>74</v>
      </c>
      <c r="I9" s="3">
        <v>6</v>
      </c>
      <c r="J9" s="3">
        <v>44</v>
      </c>
      <c r="K9" s="1">
        <v>9.6</v>
      </c>
      <c r="L9" s="1">
        <f t="shared" si="0"/>
        <v>0.21818181818181817</v>
      </c>
      <c r="M9" s="3">
        <v>1</v>
      </c>
      <c r="N9">
        <v>0.89</v>
      </c>
      <c r="O9" s="3">
        <v>214</v>
      </c>
    </row>
    <row r="10" spans="1:15" x14ac:dyDescent="0.35">
      <c r="A10" t="s">
        <v>20</v>
      </c>
      <c r="B10">
        <v>2022</v>
      </c>
      <c r="C10" t="s">
        <v>26</v>
      </c>
      <c r="D10" s="2">
        <v>44719</v>
      </c>
      <c r="E10" s="2">
        <v>44749</v>
      </c>
      <c r="F10" s="4">
        <f>1276.6/1000</f>
        <v>1.2766</v>
      </c>
      <c r="G10" s="3">
        <v>301</v>
      </c>
      <c r="H10" s="3">
        <v>289</v>
      </c>
      <c r="I10" s="3">
        <v>194</v>
      </c>
      <c r="J10" s="3">
        <f>+SUM(160+222+49)</f>
        <v>431</v>
      </c>
      <c r="K10" s="1">
        <f>+SUM(24.46+34.79+7.01)</f>
        <v>66.260000000000005</v>
      </c>
      <c r="L10" s="1">
        <f t="shared" si="0"/>
        <v>0.1537354988399072</v>
      </c>
      <c r="M10" s="3">
        <v>48</v>
      </c>
      <c r="N10">
        <v>0.86</v>
      </c>
      <c r="O10" s="3">
        <v>587</v>
      </c>
    </row>
    <row r="11" spans="1:15" x14ac:dyDescent="0.35">
      <c r="A11" t="s">
        <v>21</v>
      </c>
      <c r="B11">
        <v>2022</v>
      </c>
      <c r="C11" t="s">
        <v>26</v>
      </c>
      <c r="D11" s="2">
        <v>44719</v>
      </c>
      <c r="E11" s="2">
        <v>44749</v>
      </c>
      <c r="F11" s="4">
        <f>840.2/1000</f>
        <v>0.84020000000000006</v>
      </c>
      <c r="G11" s="3">
        <v>73</v>
      </c>
      <c r="H11" s="3">
        <v>61</v>
      </c>
      <c r="I11" s="3">
        <v>30</v>
      </c>
      <c r="J11" s="3">
        <v>167</v>
      </c>
      <c r="K11" s="1">
        <v>29.1</v>
      </c>
      <c r="L11" s="1">
        <f t="shared" si="0"/>
        <v>0.17425149700598802</v>
      </c>
      <c r="M11" s="3">
        <v>0</v>
      </c>
      <c r="N11">
        <v>0.75</v>
      </c>
      <c r="O11" s="3">
        <v>365</v>
      </c>
    </row>
    <row r="12" spans="1:15" x14ac:dyDescent="0.35">
      <c r="A12" t="s">
        <v>22</v>
      </c>
      <c r="B12">
        <v>2022</v>
      </c>
      <c r="C12" t="s">
        <v>26</v>
      </c>
      <c r="D12" s="2">
        <v>44719</v>
      </c>
      <c r="E12" s="2">
        <v>44749</v>
      </c>
      <c r="F12" s="4">
        <f>693.6/1000</f>
        <v>0.69359999999999999</v>
      </c>
      <c r="G12" s="3">
        <v>41</v>
      </c>
      <c r="H12" s="3">
        <v>29</v>
      </c>
      <c r="I12" s="3">
        <v>4</v>
      </c>
      <c r="J12" s="3">
        <v>122</v>
      </c>
      <c r="K12" s="1">
        <v>15.88</v>
      </c>
      <c r="L12" s="1">
        <f t="shared" si="0"/>
        <v>0.13016393442622951</v>
      </c>
      <c r="M12" s="3">
        <v>1</v>
      </c>
      <c r="N12">
        <v>0.9</v>
      </c>
      <c r="O12" s="3">
        <v>115</v>
      </c>
    </row>
    <row r="13" spans="1:15" x14ac:dyDescent="0.35">
      <c r="A13" t="s">
        <v>23</v>
      </c>
      <c r="B13">
        <v>2022</v>
      </c>
      <c r="C13" t="s">
        <v>26</v>
      </c>
      <c r="D13" s="2">
        <v>44719</v>
      </c>
      <c r="E13" s="2">
        <v>44750</v>
      </c>
      <c r="F13" s="4">
        <f>1050.1/1000</f>
        <v>1.0500999999999998</v>
      </c>
      <c r="G13" s="3">
        <v>123</v>
      </c>
      <c r="H13" s="3">
        <f>SUM(50+185)</f>
        <v>235</v>
      </c>
      <c r="I13" s="3">
        <v>140</v>
      </c>
      <c r="J13" s="3">
        <f>SUM(128+104)</f>
        <v>232</v>
      </c>
      <c r="K13" s="1">
        <f>SUM(24.37+16.87)</f>
        <v>41.24</v>
      </c>
      <c r="L13" s="1">
        <f t="shared" si="0"/>
        <v>0.17775862068965517</v>
      </c>
      <c r="M13" s="3">
        <v>0</v>
      </c>
      <c r="N13">
        <v>0.87</v>
      </c>
      <c r="O13" s="3">
        <v>219</v>
      </c>
    </row>
    <row r="14" spans="1:15" x14ac:dyDescent="0.35">
      <c r="A14">
        <v>2</v>
      </c>
      <c r="B14">
        <v>2023</v>
      </c>
      <c r="C14" t="s">
        <v>25</v>
      </c>
      <c r="D14" s="2">
        <v>45090</v>
      </c>
      <c r="E14" s="2">
        <v>45118</v>
      </c>
      <c r="F14" s="4">
        <v>0.89</v>
      </c>
      <c r="G14" s="3">
        <v>24</v>
      </c>
      <c r="H14" s="3">
        <v>57</v>
      </c>
      <c r="I14" s="3">
        <v>44</v>
      </c>
      <c r="J14" s="3">
        <v>167</v>
      </c>
      <c r="K14" s="5">
        <v>16.2</v>
      </c>
      <c r="L14" s="1">
        <f t="shared" si="0"/>
        <v>9.7005988023952092E-2</v>
      </c>
      <c r="M14" s="3">
        <v>0</v>
      </c>
      <c r="N14">
        <v>0.8</v>
      </c>
      <c r="O14" s="3">
        <v>203</v>
      </c>
    </row>
    <row r="15" spans="1:15" x14ac:dyDescent="0.35">
      <c r="A15">
        <v>7</v>
      </c>
      <c r="B15">
        <v>2023</v>
      </c>
      <c r="C15" t="s">
        <v>25</v>
      </c>
      <c r="D15" s="2">
        <v>45090</v>
      </c>
      <c r="E15" s="2">
        <v>45118</v>
      </c>
      <c r="F15">
        <v>0.92600000000000005</v>
      </c>
      <c r="G15" s="3">
        <v>38</v>
      </c>
      <c r="H15" s="3">
        <v>15</v>
      </c>
      <c r="I15" s="3">
        <v>65</v>
      </c>
      <c r="J15" s="3">
        <v>326</v>
      </c>
      <c r="K15" s="1">
        <v>34.6</v>
      </c>
      <c r="L15" s="1">
        <f t="shared" si="0"/>
        <v>0.10613496932515337</v>
      </c>
      <c r="M15" s="3">
        <v>11</v>
      </c>
      <c r="N15">
        <v>0.6</v>
      </c>
      <c r="O15" s="3">
        <v>326</v>
      </c>
    </row>
    <row r="16" spans="1:15" x14ac:dyDescent="0.35">
      <c r="A16">
        <v>10</v>
      </c>
      <c r="B16">
        <v>2023</v>
      </c>
      <c r="C16" t="s">
        <v>25</v>
      </c>
      <c r="D16" s="2">
        <v>45090</v>
      </c>
      <c r="E16" s="2">
        <v>45118</v>
      </c>
      <c r="F16">
        <v>0.88200000000000001</v>
      </c>
      <c r="G16" s="3">
        <v>45</v>
      </c>
      <c r="H16" s="3">
        <v>53</v>
      </c>
      <c r="I16" s="3">
        <v>42</v>
      </c>
      <c r="J16" s="3">
        <v>157</v>
      </c>
      <c r="K16" s="1">
        <v>19.899999999999999</v>
      </c>
      <c r="L16" s="1">
        <f t="shared" si="0"/>
        <v>0.1267515923566879</v>
      </c>
      <c r="M16" s="3">
        <v>0</v>
      </c>
      <c r="N16" s="1">
        <v>1.1000000000000001</v>
      </c>
      <c r="O16" s="3">
        <v>648</v>
      </c>
    </row>
    <row r="17" spans="1:15" x14ac:dyDescent="0.35">
      <c r="A17">
        <v>15</v>
      </c>
      <c r="B17">
        <v>2023</v>
      </c>
      <c r="C17" t="s">
        <v>25</v>
      </c>
      <c r="D17" s="2">
        <v>45097</v>
      </c>
      <c r="E17" s="2">
        <v>45125</v>
      </c>
      <c r="F17" s="4">
        <v>1.04</v>
      </c>
      <c r="G17" s="3">
        <v>58</v>
      </c>
      <c r="H17" s="3">
        <v>73</v>
      </c>
      <c r="I17" s="3">
        <v>62</v>
      </c>
      <c r="J17" s="3">
        <v>148</v>
      </c>
      <c r="K17" s="1">
        <v>20</v>
      </c>
      <c r="L17" s="1">
        <f t="shared" si="0"/>
        <v>0.13513513513513514</v>
      </c>
      <c r="M17" s="3">
        <v>2</v>
      </c>
      <c r="N17">
        <v>0.4</v>
      </c>
      <c r="O17" s="3">
        <v>740</v>
      </c>
    </row>
    <row r="18" spans="1:15" x14ac:dyDescent="0.35">
      <c r="A18">
        <v>19</v>
      </c>
      <c r="B18">
        <v>2023</v>
      </c>
      <c r="C18" t="s">
        <v>25</v>
      </c>
      <c r="D18" s="2">
        <v>45097</v>
      </c>
      <c r="E18" s="2">
        <v>45125</v>
      </c>
      <c r="F18" s="4">
        <v>0.85</v>
      </c>
      <c r="G18" s="3">
        <v>0</v>
      </c>
      <c r="H18" s="3">
        <v>21</v>
      </c>
      <c r="I18" s="3">
        <v>46</v>
      </c>
      <c r="J18" s="3">
        <v>96</v>
      </c>
      <c r="K18" s="1">
        <v>17.2</v>
      </c>
      <c r="L18" s="1">
        <f t="shared" si="0"/>
        <v>0.17916666666666667</v>
      </c>
      <c r="M18" s="3">
        <v>2</v>
      </c>
      <c r="N18">
        <v>0.7</v>
      </c>
      <c r="O18" s="3">
        <v>321</v>
      </c>
    </row>
    <row r="19" spans="1:15" x14ac:dyDescent="0.35">
      <c r="A19">
        <v>21</v>
      </c>
      <c r="B19">
        <v>2023</v>
      </c>
      <c r="C19" t="s">
        <v>26</v>
      </c>
      <c r="D19" s="2">
        <v>45097</v>
      </c>
      <c r="E19" s="2">
        <v>45125</v>
      </c>
      <c r="F19" s="4">
        <v>0.95</v>
      </c>
      <c r="G19" s="3">
        <v>207</v>
      </c>
      <c r="H19" s="3">
        <v>147</v>
      </c>
      <c r="I19">
        <f>27+100+21+39+133+4</f>
        <v>324</v>
      </c>
      <c r="J19">
        <v>251</v>
      </c>
      <c r="K19" s="5">
        <v>32.4</v>
      </c>
      <c r="L19" s="1">
        <f t="shared" si="0"/>
        <v>0.1290836653386454</v>
      </c>
      <c r="M19">
        <v>20</v>
      </c>
      <c r="N19">
        <v>0.7</v>
      </c>
      <c r="O19">
        <f>338+51</f>
        <v>389</v>
      </c>
    </row>
    <row r="20" spans="1:15" x14ac:dyDescent="0.35">
      <c r="A20">
        <v>22</v>
      </c>
      <c r="B20">
        <v>2023</v>
      </c>
      <c r="C20" t="s">
        <v>26</v>
      </c>
      <c r="D20" s="2">
        <v>45097</v>
      </c>
      <c r="E20" s="2">
        <v>45125</v>
      </c>
      <c r="F20" s="4">
        <v>0.88200000000000001</v>
      </c>
      <c r="G20" s="3">
        <v>35</v>
      </c>
      <c r="H20" s="3">
        <v>185</v>
      </c>
      <c r="I20">
        <f>3+46+15+8+59</f>
        <v>131</v>
      </c>
      <c r="J20">
        <v>123</v>
      </c>
      <c r="K20" s="5">
        <v>16.100000000000001</v>
      </c>
      <c r="L20" s="1">
        <f t="shared" si="0"/>
        <v>0.13089430894308945</v>
      </c>
      <c r="M20">
        <v>37</v>
      </c>
      <c r="N20">
        <v>1.3</v>
      </c>
      <c r="O20">
        <f>556+56</f>
        <v>612</v>
      </c>
    </row>
    <row r="21" spans="1:15" x14ac:dyDescent="0.35">
      <c r="A21">
        <v>23</v>
      </c>
      <c r="B21">
        <v>2023</v>
      </c>
      <c r="C21" t="s">
        <v>24</v>
      </c>
      <c r="D21" s="2">
        <v>45097</v>
      </c>
      <c r="E21" s="2">
        <v>45125</v>
      </c>
      <c r="F21" s="4">
        <v>0.78</v>
      </c>
      <c r="G21" s="3">
        <v>0</v>
      </c>
      <c r="H21" s="3">
        <v>0</v>
      </c>
      <c r="I21" s="3">
        <v>15</v>
      </c>
      <c r="J21">
        <v>89</v>
      </c>
      <c r="K21" s="5">
        <v>12.6</v>
      </c>
      <c r="L21" s="1">
        <f t="shared" si="0"/>
        <v>0.14157303370786517</v>
      </c>
      <c r="M21">
        <v>0</v>
      </c>
      <c r="N21">
        <v>0.7</v>
      </c>
      <c r="O21">
        <f>343+32</f>
        <v>375</v>
      </c>
    </row>
    <row r="22" spans="1:15" x14ac:dyDescent="0.35">
      <c r="A22">
        <v>24</v>
      </c>
      <c r="B22">
        <v>2023</v>
      </c>
      <c r="C22" t="s">
        <v>24</v>
      </c>
      <c r="D22" s="2">
        <v>45097</v>
      </c>
      <c r="E22" s="2">
        <v>45125</v>
      </c>
      <c r="F22" s="4">
        <v>0.67800000000000005</v>
      </c>
      <c r="G22" s="3">
        <v>0</v>
      </c>
      <c r="H22" s="3">
        <v>0</v>
      </c>
      <c r="I22" s="3">
        <v>21</v>
      </c>
      <c r="J22">
        <v>139</v>
      </c>
      <c r="K22" s="5">
        <v>13.3</v>
      </c>
      <c r="L22" s="1">
        <f t="shared" si="0"/>
        <v>9.5683453237410079E-2</v>
      </c>
      <c r="M22">
        <v>0</v>
      </c>
      <c r="N22">
        <v>0.5</v>
      </c>
      <c r="O22">
        <f>195+21</f>
        <v>216</v>
      </c>
    </row>
    <row r="23" spans="1:15" x14ac:dyDescent="0.35">
      <c r="A23">
        <v>25</v>
      </c>
      <c r="B23">
        <v>2023</v>
      </c>
      <c r="C23" t="s">
        <v>24</v>
      </c>
      <c r="D23" s="2">
        <v>45097</v>
      </c>
      <c r="E23" s="2">
        <v>45125</v>
      </c>
      <c r="F23" s="4">
        <v>0.71799999999999997</v>
      </c>
      <c r="G23" s="3">
        <v>0</v>
      </c>
      <c r="H23" s="3">
        <v>3</v>
      </c>
      <c r="I23" s="3">
        <v>19</v>
      </c>
      <c r="J23">
        <v>70</v>
      </c>
      <c r="K23" s="5">
        <v>6.3</v>
      </c>
      <c r="L23" s="1">
        <f t="shared" si="0"/>
        <v>0.09</v>
      </c>
      <c r="M23">
        <v>0</v>
      </c>
      <c r="N23">
        <v>0.7</v>
      </c>
      <c r="O23">
        <f>241+44</f>
        <v>285</v>
      </c>
    </row>
    <row r="24" spans="1:15" x14ac:dyDescent="0.35">
      <c r="A24">
        <v>26</v>
      </c>
      <c r="B24">
        <v>2023</v>
      </c>
      <c r="C24" t="s">
        <v>24</v>
      </c>
      <c r="D24" s="2">
        <v>45097</v>
      </c>
      <c r="E24" s="2">
        <v>45125</v>
      </c>
      <c r="F24" s="4">
        <v>0.76400000000000001</v>
      </c>
      <c r="G24" s="3">
        <v>0</v>
      </c>
      <c r="H24" s="3">
        <v>0</v>
      </c>
      <c r="I24" s="3">
        <v>16</v>
      </c>
      <c r="J24">
        <v>261</v>
      </c>
      <c r="K24" s="5">
        <v>12.6</v>
      </c>
      <c r="L24" s="1">
        <f t="shared" si="0"/>
        <v>4.8275862068965517E-2</v>
      </c>
      <c r="M24">
        <v>14</v>
      </c>
      <c r="N24">
        <v>0.8</v>
      </c>
      <c r="O24">
        <f>418+31</f>
        <v>449</v>
      </c>
    </row>
    <row r="25" spans="1:15" x14ac:dyDescent="0.35">
      <c r="A25">
        <v>27</v>
      </c>
      <c r="B25">
        <v>2023</v>
      </c>
      <c r="C25" t="s">
        <v>24</v>
      </c>
      <c r="D25" s="2">
        <v>45097</v>
      </c>
      <c r="E25" s="2">
        <v>45125</v>
      </c>
      <c r="F25" s="4">
        <v>0.68400000000000005</v>
      </c>
      <c r="G25" s="3">
        <v>0</v>
      </c>
      <c r="H25" s="3">
        <v>1</v>
      </c>
      <c r="I25" s="3">
        <v>13</v>
      </c>
      <c r="J25" s="3">
        <v>242</v>
      </c>
      <c r="K25" s="5">
        <v>13.4</v>
      </c>
      <c r="L25" s="1">
        <f t="shared" si="0"/>
        <v>5.5371900826446281E-2</v>
      </c>
      <c r="M25" s="3">
        <v>0</v>
      </c>
      <c r="N25" s="3">
        <v>0.7</v>
      </c>
      <c r="O25">
        <f>232+61</f>
        <v>293</v>
      </c>
    </row>
    <row r="26" spans="1:15" x14ac:dyDescent="0.35">
      <c r="A26">
        <v>28</v>
      </c>
      <c r="B26">
        <v>2023</v>
      </c>
      <c r="C26" t="s">
        <v>26</v>
      </c>
      <c r="D26" s="2">
        <v>45097</v>
      </c>
      <c r="E26" s="2">
        <v>45125</v>
      </c>
      <c r="F26" s="4">
        <v>1.3240000000000001</v>
      </c>
      <c r="G26" s="3">
        <v>282</v>
      </c>
      <c r="H26" s="3">
        <v>55</v>
      </c>
      <c r="I26">
        <f>6+83+44+11+68</f>
        <v>212</v>
      </c>
      <c r="J26">
        <v>312</v>
      </c>
      <c r="K26" s="5">
        <v>53</v>
      </c>
      <c r="L26" s="1">
        <f t="shared" si="0"/>
        <v>0.16987179487179488</v>
      </c>
      <c r="M26">
        <v>0</v>
      </c>
      <c r="N26">
        <v>0.6</v>
      </c>
      <c r="O26">
        <f>1202+61</f>
        <v>1263</v>
      </c>
    </row>
    <row r="27" spans="1:15" x14ac:dyDescent="0.35">
      <c r="A27">
        <v>29</v>
      </c>
      <c r="B27">
        <v>2023</v>
      </c>
      <c r="C27" t="s">
        <v>26</v>
      </c>
      <c r="D27" s="2">
        <v>45097</v>
      </c>
      <c r="E27" s="2">
        <v>45125</v>
      </c>
      <c r="F27" s="4">
        <v>0.79</v>
      </c>
      <c r="G27" s="3">
        <v>149</v>
      </c>
      <c r="H27" s="3">
        <v>247</v>
      </c>
      <c r="I27">
        <f>22+88+25+17+56</f>
        <v>208</v>
      </c>
      <c r="J27">
        <v>182</v>
      </c>
      <c r="K27">
        <v>25.6</v>
      </c>
      <c r="L27" s="1">
        <f t="shared" si="0"/>
        <v>0.14065934065934066</v>
      </c>
      <c r="M27">
        <v>0</v>
      </c>
      <c r="N27">
        <v>0.7</v>
      </c>
      <c r="O27">
        <f>178+56</f>
        <v>234</v>
      </c>
    </row>
    <row r="28" spans="1:15" x14ac:dyDescent="0.35">
      <c r="A28">
        <v>30</v>
      </c>
      <c r="B28">
        <v>2023</v>
      </c>
      <c r="C28" t="s">
        <v>26</v>
      </c>
      <c r="D28" s="2">
        <v>45097</v>
      </c>
      <c r="E28" s="2">
        <v>45125</v>
      </c>
      <c r="F28" s="4">
        <v>0.74199999999999999</v>
      </c>
      <c r="G28" s="3">
        <v>0</v>
      </c>
      <c r="H28" s="3">
        <v>5</v>
      </c>
      <c r="I28" s="3">
        <v>7</v>
      </c>
      <c r="J28">
        <v>168</v>
      </c>
      <c r="K28" s="5">
        <v>25.4</v>
      </c>
      <c r="L28" s="1">
        <f t="shared" si="0"/>
        <v>0.15119047619047618</v>
      </c>
      <c r="M28">
        <v>0</v>
      </c>
      <c r="N28">
        <v>0.8</v>
      </c>
      <c r="O28">
        <f>330+24</f>
        <v>354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32F7B-8DED-4E5A-9DED-C6B8E66B9349}">
  <dimension ref="A1:B16"/>
  <sheetViews>
    <sheetView workbookViewId="0">
      <selection activeCell="A2" sqref="A2"/>
    </sheetView>
  </sheetViews>
  <sheetFormatPr baseColWidth="10" defaultColWidth="8.7265625" defaultRowHeight="14.5" x14ac:dyDescent="0.35"/>
  <cols>
    <col min="1" max="1" width="17.36328125" bestFit="1" customWidth="1"/>
    <col min="2" max="2" width="77.36328125" customWidth="1"/>
  </cols>
  <sheetData>
    <row r="1" spans="1:2" x14ac:dyDescent="0.35">
      <c r="A1" t="s">
        <v>30</v>
      </c>
      <c r="B1" t="s">
        <v>31</v>
      </c>
    </row>
    <row r="2" spans="1:2" ht="28.9" customHeight="1" x14ac:dyDescent="0.35">
      <c r="A2" t="str" cm="1">
        <f t="array" ref="A2:A16">TRANSPOSE(Data!A1:O1)</f>
        <v>name</v>
      </c>
      <c r="B2" s="6" t="s">
        <v>32</v>
      </c>
    </row>
    <row r="3" spans="1:2" x14ac:dyDescent="0.35">
      <c r="A3" t="str">
        <v>year</v>
      </c>
      <c r="B3" t="s">
        <v>33</v>
      </c>
    </row>
    <row r="4" spans="1:2" ht="63.4" customHeight="1" x14ac:dyDescent="0.35">
      <c r="A4" t="str">
        <v>treatment</v>
      </c>
      <c r="B4" s="6" t="s">
        <v>44</v>
      </c>
    </row>
    <row r="5" spans="1:2" x14ac:dyDescent="0.35">
      <c r="A5" t="str">
        <v>start_date</v>
      </c>
      <c r="B5" t="s">
        <v>34</v>
      </c>
    </row>
    <row r="6" spans="1:2" ht="29" x14ac:dyDescent="0.35">
      <c r="A6" t="str">
        <v>end_date</v>
      </c>
      <c r="B6" s="6" t="s">
        <v>35</v>
      </c>
    </row>
    <row r="7" spans="1:2" ht="43.5" x14ac:dyDescent="0.35">
      <c r="A7" t="str">
        <v>end_kg_plastic</v>
      </c>
      <c r="B7" s="6" t="s">
        <v>40</v>
      </c>
    </row>
    <row r="8" spans="1:2" x14ac:dyDescent="0.35">
      <c r="A8" t="str">
        <v>eggs</v>
      </c>
      <c r="B8" s="6" t="s">
        <v>36</v>
      </c>
    </row>
    <row r="9" spans="1:2" ht="29" x14ac:dyDescent="0.35">
      <c r="A9" t="str">
        <v>larvae</v>
      </c>
      <c r="B9" s="6" t="s">
        <v>38</v>
      </c>
    </row>
    <row r="10" spans="1:2" ht="29" x14ac:dyDescent="0.35">
      <c r="A10" t="str">
        <v>pupae</v>
      </c>
      <c r="B10" s="6" t="s">
        <v>37</v>
      </c>
    </row>
    <row r="11" spans="1:2" ht="58" x14ac:dyDescent="0.35">
      <c r="A11" t="str">
        <v>worker_count</v>
      </c>
      <c r="B11" s="6" t="s">
        <v>39</v>
      </c>
    </row>
    <row r="12" spans="1:2" ht="29" x14ac:dyDescent="0.35">
      <c r="A12" t="str">
        <v>total_worker_weight</v>
      </c>
      <c r="B12" s="6" t="s">
        <v>41</v>
      </c>
    </row>
    <row r="13" spans="1:2" ht="43.5" x14ac:dyDescent="0.35">
      <c r="A13" t="str">
        <v>worker_weight</v>
      </c>
      <c r="B13" s="6" t="s">
        <v>42</v>
      </c>
    </row>
    <row r="14" spans="1:2" ht="29" x14ac:dyDescent="0.35">
      <c r="A14" t="str">
        <v>drone_count</v>
      </c>
      <c r="B14" s="6" t="s">
        <v>43</v>
      </c>
    </row>
    <row r="15" spans="1:2" ht="58" x14ac:dyDescent="0.35">
      <c r="A15" t="str">
        <v>queen_weight</v>
      </c>
      <c r="B15" s="6" t="s">
        <v>45</v>
      </c>
    </row>
    <row r="16" spans="1:2" ht="87" x14ac:dyDescent="0.35">
      <c r="A16" t="str">
        <v>honeypollen_count</v>
      </c>
      <c r="B16" s="6"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cover</vt:lpstr>
      <vt:lpstr>Data</vt:lpstr>
      <vt:lpstr>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Alexis Gauger</dc:creator>
  <cp:lastModifiedBy>Carolin Mayer</cp:lastModifiedBy>
  <dcterms:created xsi:type="dcterms:W3CDTF">2024-02-06T18:27:20Z</dcterms:created>
  <dcterms:modified xsi:type="dcterms:W3CDTF">2025-10-17T16:14:08Z</dcterms:modified>
</cp:coreProperties>
</file>